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F064158-AD46-4315-BEC5-EE9A81C26222}" xr6:coauthVersionLast="46" xr6:coauthVersionMax="46" xr10:uidLastSave="{00000000-0000-0000-0000-000000000000}"/>
  <bookViews>
    <workbookView xWindow="-120" yWindow="-120" windowWidth="21840" windowHeight="13290" xr2:uid="{3B974826-D8F2-4E84-9B13-4436F0B79D2E}"/>
  </bookViews>
  <sheets>
    <sheet name="Trafic  TOTAL APDF  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I15" i="1"/>
  <c r="C7" i="1" l="1"/>
  <c r="I7" i="1"/>
  <c r="C22" i="1"/>
  <c r="G22" i="1"/>
  <c r="G7" i="1"/>
  <c r="G28" i="1" l="1"/>
  <c r="D28" i="1"/>
  <c r="C28" i="1"/>
  <c r="G25" i="1"/>
  <c r="C25" i="1"/>
  <c r="I22" i="1"/>
  <c r="D22" i="1"/>
  <c r="I16" i="1"/>
  <c r="F16" i="1"/>
  <c r="C16" i="1"/>
  <c r="H15" i="1"/>
  <c r="G14" i="1"/>
  <c r="C14" i="1"/>
  <c r="I13" i="1"/>
  <c r="H13" i="1"/>
  <c r="C13" i="1"/>
  <c r="D12" i="1"/>
  <c r="C12" i="1"/>
  <c r="I8" i="1"/>
  <c r="F8" i="1"/>
  <c r="D8" i="1"/>
  <c r="C8" i="1"/>
  <c r="H7" i="1"/>
  <c r="F7" i="1"/>
  <c r="D7" i="1"/>
  <c r="I28" i="1"/>
  <c r="E22" i="1"/>
  <c r="I14" i="1"/>
  <c r="E8" i="1"/>
  <c r="E7" i="1"/>
  <c r="G27" i="1"/>
  <c r="C27" i="1"/>
  <c r="I25" i="1"/>
  <c r="G15" i="1"/>
  <c r="H14" i="1"/>
  <c r="F31" i="1"/>
  <c r="C31" i="1"/>
  <c r="F28" i="1"/>
  <c r="F27" i="1"/>
  <c r="F25" i="1"/>
  <c r="I21" i="1"/>
  <c r="G21" i="1"/>
  <c r="C21" i="1"/>
  <c r="F14" i="1"/>
  <c r="F12" i="1"/>
  <c r="H8" i="1"/>
  <c r="H28" i="1" l="1"/>
  <c r="D16" i="1"/>
  <c r="G31" i="1"/>
  <c r="G29" i="1"/>
  <c r="C29" i="1"/>
  <c r="F22" i="1" l="1"/>
  <c r="I31" i="1"/>
  <c r="F13" i="1"/>
  <c r="G32" i="1" l="1"/>
  <c r="G33" i="1" s="1"/>
  <c r="C32" i="1"/>
  <c r="I27" i="1"/>
  <c r="D14" i="1"/>
  <c r="D33" i="1" l="1"/>
  <c r="F33" i="1"/>
  <c r="C33" i="1" l="1"/>
  <c r="E33" i="1"/>
  <c r="H33" i="1"/>
  <c r="I33" i="1"/>
</calcChain>
</file>

<file path=xl/sharedStrings.xml><?xml version="1.0" encoding="utf-8"?>
<sst xmlns="http://schemas.openxmlformats.org/spreadsheetml/2006/main" count="73" uniqueCount="69">
  <si>
    <t>CN APDF SA GIURGIU</t>
  </si>
  <si>
    <t>BIROUL COMERCIAL URMĂRIRE CONTRACTE</t>
  </si>
  <si>
    <t>Nr.</t>
  </si>
  <si>
    <t>din care:</t>
  </si>
  <si>
    <t/>
  </si>
  <si>
    <t>Grupa de mărfuri</t>
  </si>
  <si>
    <t>Total</t>
  </si>
  <si>
    <t>Incărcări</t>
  </si>
  <si>
    <t>Descărcări</t>
  </si>
  <si>
    <t>crt.</t>
  </si>
  <si>
    <t>Export</t>
  </si>
  <si>
    <t>Tranzit</t>
  </si>
  <si>
    <t>Cabotaj</t>
  </si>
  <si>
    <t>Import</t>
  </si>
  <si>
    <t>Total (1+2+...+25)</t>
  </si>
  <si>
    <t>1.</t>
  </si>
  <si>
    <t>Cereale</t>
  </si>
  <si>
    <t>2.</t>
  </si>
  <si>
    <t>Fructe şi legume proaspete</t>
  </si>
  <si>
    <t>3.</t>
  </si>
  <si>
    <t>Animale vii, sfeclă de zahăr</t>
  </si>
  <si>
    <t>4.</t>
  </si>
  <si>
    <t>Produse alimentare, băuturi, tutun şi nutreţuri animale</t>
  </si>
  <si>
    <t>5.</t>
  </si>
  <si>
    <t>Seminţe (nuci) oleaginoase, uleiuri şi grăsimi</t>
  </si>
  <si>
    <t>6.</t>
  </si>
  <si>
    <t>Lemn, lemn de foc</t>
  </si>
  <si>
    <t>7.</t>
  </si>
  <si>
    <t>Îngrăşăminte (naturale şi chimice)</t>
  </si>
  <si>
    <t>8.</t>
  </si>
  <si>
    <t>Produse minerale brute (de carieră şi balastieră, ipsos, sulfuri, zgură, cretă, sare etc.)</t>
  </si>
  <si>
    <t>9.</t>
  </si>
  <si>
    <t>Minereuri de fier, fier vechi</t>
  </si>
  <si>
    <t>10.</t>
  </si>
  <si>
    <t>Minereuri neferoase</t>
  </si>
  <si>
    <t>11.</t>
  </si>
  <si>
    <t>Textile, produse sintetice şi artificiale; alte materii brute de origine animală sau vegetală (piei, blănuri, cauciuc)</t>
  </si>
  <si>
    <t>12.</t>
  </si>
  <si>
    <t>Pastă şi deşeuri de hârtie ( hârtie )</t>
  </si>
  <si>
    <t>13.</t>
  </si>
  <si>
    <t>Combustibili solizi (cărbuni, cocs etc.)</t>
  </si>
  <si>
    <t>14.</t>
  </si>
  <si>
    <t>Petrol brut</t>
  </si>
  <si>
    <t>15.</t>
  </si>
  <si>
    <t>Produse petroliere şi gaz</t>
  </si>
  <si>
    <t>16.</t>
  </si>
  <si>
    <t>Gudroane derivate din cărbuni şi gaze naturale</t>
  </si>
  <si>
    <t>17.</t>
  </si>
  <si>
    <t>Produse chimice</t>
  </si>
  <si>
    <t>18.</t>
  </si>
  <si>
    <t>Var, ciment, materiale de construcţii fabricate</t>
  </si>
  <si>
    <t>19.</t>
  </si>
  <si>
    <t>Sticlă, sticlărie, produse ceramice</t>
  </si>
  <si>
    <t>20.</t>
  </si>
  <si>
    <t>Metale (feroase şi neferoase)</t>
  </si>
  <si>
    <t>21.</t>
  </si>
  <si>
    <t>Articole fabricate din metal ( otel )</t>
  </si>
  <si>
    <t>22.</t>
  </si>
  <si>
    <t>Maşini, material de transport</t>
  </si>
  <si>
    <t>23.</t>
  </si>
  <si>
    <t>Diverse articole (ţesături, confecţii, încălţăminte, mobilă)</t>
  </si>
  <si>
    <t>24.</t>
  </si>
  <si>
    <t>Alte produse</t>
  </si>
  <si>
    <t>25.</t>
  </si>
  <si>
    <t>Containere</t>
  </si>
  <si>
    <t>Total Nave Operate:</t>
  </si>
  <si>
    <t>româneşti:</t>
  </si>
  <si>
    <t>străine:</t>
  </si>
  <si>
    <t xml:space="preserve">SITUATIE TRAFIC MARFA  TOTAL  AN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</si>
</sst>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0" fillId="0" borderId="0" xfId="0" applyFill="1"/>
    <xf numFmtId="0" fontId="1" fillId="0" borderId="0" xfId="0" applyFont="1" applyFill="1" applyProtection="1">
      <protection locked="0"/>
    </xf>
    <xf numFmtId="0" fontId="2" fillId="0" borderId="0" xfId="0" quotePrefix="1" applyFont="1" applyFill="1" applyAlignment="1" applyProtection="1">
      <alignment horizontal="left"/>
      <protection locked="0"/>
    </xf>
    <xf numFmtId="0" fontId="2" fillId="0" borderId="0" xfId="0" applyFont="1" applyFill="1" applyProtection="1">
      <protection locked="0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4" fillId="0" borderId="0" xfId="0" quotePrefix="1" applyFont="1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6" xfId="0" quotePrefix="1" applyFont="1" applyFill="1" applyBorder="1" applyAlignment="1" applyProtection="1">
      <alignment horizontal="center"/>
      <protection locked="0"/>
    </xf>
    <xf numFmtId="0" fontId="4" fillId="0" borderId="6" xfId="0" quotePrefix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Protection="1"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5" xfId="0" quotePrefix="1" applyFont="1" applyFill="1" applyBorder="1" applyAlignment="1" applyProtection="1">
      <alignment horizontal="center" vertical="center" wrapText="1"/>
      <protection locked="0"/>
    </xf>
    <xf numFmtId="1" fontId="5" fillId="0" borderId="5" xfId="0" applyNumberFormat="1" applyFont="1" applyFill="1" applyBorder="1" applyAlignment="1" applyProtection="1">
      <alignment horizontal="right"/>
      <protection locked="0"/>
    </xf>
    <xf numFmtId="1" fontId="4" fillId="0" borderId="5" xfId="0" applyNumberFormat="1" applyFont="1" applyFill="1" applyBorder="1" applyAlignment="1" applyProtection="1">
      <alignment horizontal="right"/>
      <protection locked="0"/>
    </xf>
    <xf numFmtId="1" fontId="4" fillId="0" borderId="3" xfId="0" applyNumberFormat="1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right"/>
      <protection locked="0"/>
    </xf>
    <xf numFmtId="0" fontId="4" fillId="0" borderId="5" xfId="0" quotePrefix="1" applyFont="1" applyFill="1" applyBorder="1" applyAlignment="1" applyProtection="1">
      <alignment vertical="center" wrapText="1"/>
      <protection locked="0"/>
    </xf>
    <xf numFmtId="0" fontId="4" fillId="0" borderId="5" xfId="0" quotePrefix="1" applyFont="1" applyFill="1" applyBorder="1" applyAlignment="1" applyProtection="1">
      <alignment horizontal="left" vertical="center" wrapText="1"/>
      <protection locked="0"/>
    </xf>
    <xf numFmtId="0" fontId="4" fillId="0" borderId="0" xfId="0" quotePrefix="1" applyFont="1" applyFill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right" wrapText="1"/>
      <protection locked="0"/>
    </xf>
    <xf numFmtId="0" fontId="0" fillId="0" borderId="0" xfId="0" applyAlignment="1">
      <alignment wrapText="1"/>
    </xf>
    <xf numFmtId="0" fontId="6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quotePrefix="1" applyFont="1" applyFill="1" applyBorder="1" applyAlignment="1" applyProtection="1">
      <alignment horizontal="center" vertical="center"/>
      <protection locked="0"/>
    </xf>
    <xf numFmtId="0" fontId="4" fillId="0" borderId="4" xfId="0" quotePrefix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10F5-FB2E-4B08-A516-A11A0F941AF9}">
  <dimension ref="A1:I38"/>
  <sheetViews>
    <sheetView tabSelected="1" zoomScale="90" zoomScaleNormal="90" workbookViewId="0">
      <selection activeCell="M15" sqref="M15"/>
    </sheetView>
  </sheetViews>
  <sheetFormatPr defaultRowHeight="15" x14ac:dyDescent="0.25"/>
  <cols>
    <col min="1" max="1" width="4.140625" customWidth="1"/>
    <col min="2" max="2" width="29.42578125" style="43" customWidth="1"/>
    <col min="3" max="3" width="7.28515625" customWidth="1"/>
    <col min="4" max="4" width="7.140625" customWidth="1"/>
    <col min="5" max="5" width="7.42578125" customWidth="1"/>
    <col min="6" max="6" width="8.140625" customWidth="1"/>
    <col min="7" max="7" width="7.42578125" customWidth="1"/>
    <col min="8" max="8" width="7.7109375" customWidth="1"/>
    <col min="9" max="9" width="7.140625" customWidth="1"/>
  </cols>
  <sheetData>
    <row r="1" spans="1:9" x14ac:dyDescent="0.25">
      <c r="A1" s="12"/>
      <c r="B1" s="38" t="s">
        <v>0</v>
      </c>
      <c r="C1" s="12"/>
      <c r="D1" s="12"/>
      <c r="E1" s="12"/>
      <c r="F1" s="12"/>
      <c r="G1" s="12"/>
      <c r="H1" s="12"/>
      <c r="I1" s="12"/>
    </row>
    <row r="2" spans="1:9" x14ac:dyDescent="0.25">
      <c r="A2" s="13"/>
      <c r="B2" s="14" t="s">
        <v>1</v>
      </c>
      <c r="C2" s="44"/>
      <c r="D2" s="15"/>
      <c r="E2" s="49"/>
      <c r="F2" s="49"/>
      <c r="G2" s="12"/>
      <c r="H2" s="12"/>
      <c r="I2" s="12"/>
    </row>
    <row r="3" spans="1:9" ht="12.75" customHeight="1" x14ac:dyDescent="0.25">
      <c r="A3" s="16"/>
      <c r="B3" s="39"/>
      <c r="C3" s="15"/>
      <c r="D3" s="45" t="s">
        <v>68</v>
      </c>
      <c r="E3" s="45"/>
      <c r="F3" s="45"/>
      <c r="G3" s="45"/>
      <c r="H3" s="45"/>
      <c r="I3" s="16"/>
    </row>
    <row r="4" spans="1:9" x14ac:dyDescent="0.25">
      <c r="A4" s="17" t="s">
        <v>2</v>
      </c>
      <c r="B4" s="40"/>
      <c r="C4" s="18"/>
      <c r="D4" s="19" t="s">
        <v>3</v>
      </c>
      <c r="E4" s="20"/>
      <c r="F4" s="20"/>
      <c r="G4" s="50"/>
      <c r="H4" s="51"/>
      <c r="I4" s="52"/>
    </row>
    <row r="5" spans="1:9" ht="11.25" customHeight="1" x14ac:dyDescent="0.25">
      <c r="A5" s="21" t="s">
        <v>4</v>
      </c>
      <c r="B5" s="22" t="s">
        <v>5</v>
      </c>
      <c r="C5" s="23" t="s">
        <v>6</v>
      </c>
      <c r="D5" s="46" t="s">
        <v>7</v>
      </c>
      <c r="E5" s="47"/>
      <c r="F5" s="47"/>
      <c r="G5" s="48" t="s">
        <v>8</v>
      </c>
      <c r="H5" s="48"/>
      <c r="I5" s="48"/>
    </row>
    <row r="6" spans="1:9" ht="12" customHeight="1" x14ac:dyDescent="0.25">
      <c r="A6" s="24" t="s">
        <v>9</v>
      </c>
      <c r="B6" s="41"/>
      <c r="C6" s="25"/>
      <c r="D6" s="26" t="s">
        <v>10</v>
      </c>
      <c r="E6" s="26" t="s">
        <v>11</v>
      </c>
      <c r="F6" s="27" t="s">
        <v>12</v>
      </c>
      <c r="G6" s="26" t="s">
        <v>13</v>
      </c>
      <c r="H6" s="26" t="s">
        <v>11</v>
      </c>
      <c r="I6" s="26" t="s">
        <v>12</v>
      </c>
    </row>
    <row r="7" spans="1:9" ht="12" customHeight="1" x14ac:dyDescent="0.25">
      <c r="A7" s="26">
        <v>0</v>
      </c>
      <c r="B7" s="28" t="s">
        <v>14</v>
      </c>
      <c r="C7" s="29">
        <f>227824+274949+332534+222916+223326+260174+1118731+326599+295503+172676</f>
        <v>3455232</v>
      </c>
      <c r="D7" s="30">
        <f>33228+14331+12245+25049+9649+16242+71603+22513+31547+9747</f>
        <v>246154</v>
      </c>
      <c r="E7" s="30">
        <f>7051+11289+2954+587+2545+100109+5164+47919</f>
        <v>177618</v>
      </c>
      <c r="F7" s="31">
        <f>63662+94913+104902+85559+86807+54792+385454+121996+38397+46884</f>
        <v>1083366</v>
      </c>
      <c r="G7" s="30">
        <f>41067+81538+75760+47444+48075+53084+170124+61461+51415+42183</f>
        <v>672151</v>
      </c>
      <c r="H7" s="30">
        <f>53036+38800+79779+38723+65367+104775+235188+84237+79668+54928</f>
        <v>834501</v>
      </c>
      <c r="I7" s="30">
        <f>29780+34078+56894+26141+12841+28736+156253+31228+46557+18934</f>
        <v>441442</v>
      </c>
    </row>
    <row r="8" spans="1:9" ht="11.25" customHeight="1" x14ac:dyDescent="0.25">
      <c r="A8" s="26" t="s">
        <v>15</v>
      </c>
      <c r="B8" s="32" t="s">
        <v>16</v>
      </c>
      <c r="C8" s="30">
        <f>87158+110588+102915+86326+53078+85329+493063+129003+65322+51587</f>
        <v>1264369</v>
      </c>
      <c r="D8" s="30">
        <f>15069+714+12718+1144+48570+6787+6155+1245</f>
        <v>92402</v>
      </c>
      <c r="E8" s="30">
        <f>7051+11289+2954+2545+587+100109+5164+19227</f>
        <v>148926</v>
      </c>
      <c r="F8" s="33">
        <f>62192+94242+99247+73608+49389+84742+343284+117052+37420+44936</f>
        <v>1006112</v>
      </c>
      <c r="G8" s="30"/>
      <c r="H8" s="34">
        <f>1100</f>
        <v>1100</v>
      </c>
      <c r="I8" s="34">
        <f>2846+5057+2520+5406</f>
        <v>15829</v>
      </c>
    </row>
    <row r="9" spans="1:9" ht="10.5" customHeight="1" x14ac:dyDescent="0.25">
      <c r="A9" s="26" t="s">
        <v>17</v>
      </c>
      <c r="B9" s="35" t="s">
        <v>18</v>
      </c>
      <c r="C9" s="30"/>
      <c r="D9" s="30"/>
      <c r="E9" s="30"/>
      <c r="F9" s="33"/>
      <c r="G9" s="30"/>
      <c r="H9" s="34"/>
      <c r="I9" s="34"/>
    </row>
    <row r="10" spans="1:9" ht="13.5" customHeight="1" x14ac:dyDescent="0.25">
      <c r="A10" s="26" t="s">
        <v>19</v>
      </c>
      <c r="B10" s="32" t="s">
        <v>20</v>
      </c>
      <c r="C10" s="30"/>
      <c r="D10" s="30"/>
      <c r="E10" s="30"/>
      <c r="F10" s="33"/>
      <c r="G10" s="30"/>
      <c r="H10" s="34"/>
      <c r="I10" s="34"/>
    </row>
    <row r="11" spans="1:9" ht="12" customHeight="1" x14ac:dyDescent="0.25">
      <c r="A11" s="26" t="s">
        <v>21</v>
      </c>
      <c r="B11" s="36" t="s">
        <v>22</v>
      </c>
      <c r="C11" s="30"/>
      <c r="D11" s="30"/>
      <c r="E11" s="30"/>
      <c r="F11" s="33"/>
      <c r="G11" s="30"/>
      <c r="H11" s="34"/>
      <c r="I11" s="34"/>
    </row>
    <row r="12" spans="1:9" ht="27" customHeight="1" x14ac:dyDescent="0.25">
      <c r="A12" s="26" t="s">
        <v>23</v>
      </c>
      <c r="B12" s="32" t="s">
        <v>24</v>
      </c>
      <c r="C12" s="30">
        <f>481+11825+1299+5292+646</f>
        <v>19543</v>
      </c>
      <c r="D12" s="30">
        <f>1299+5292+646</f>
        <v>7237</v>
      </c>
      <c r="E12" s="30"/>
      <c r="F12" s="33">
        <f>481+11825</f>
        <v>12306</v>
      </c>
      <c r="G12" s="30"/>
      <c r="H12" s="34"/>
      <c r="I12" s="34"/>
    </row>
    <row r="13" spans="1:9" ht="12" customHeight="1" x14ac:dyDescent="0.25">
      <c r="A13" s="26" t="s">
        <v>25</v>
      </c>
      <c r="B13" s="32" t="s">
        <v>26</v>
      </c>
      <c r="C13" s="30">
        <f>3009+3124+3660+2640+2297+1236+8543+2840+4561+3347</f>
        <v>35257</v>
      </c>
      <c r="D13" s="30"/>
      <c r="E13" s="30"/>
      <c r="F13" s="33">
        <f>2500</f>
        <v>2500</v>
      </c>
      <c r="G13" s="30"/>
      <c r="H13" s="34">
        <f>1870+2414+1160+1083+2297+486+4308+1080+170+746</f>
        <v>15614</v>
      </c>
      <c r="I13" s="34">
        <f>1139+710+1557+750+4235+1760+4391+2601</f>
        <v>17143</v>
      </c>
    </row>
    <row r="14" spans="1:9" ht="18.75" customHeight="1" x14ac:dyDescent="0.25">
      <c r="A14" s="26" t="s">
        <v>27</v>
      </c>
      <c r="B14" s="36" t="s">
        <v>28</v>
      </c>
      <c r="C14" s="30">
        <f>19725+38918+39103+25367+19467+16030+114507+29278+24708+8937</f>
        <v>336040</v>
      </c>
      <c r="D14" s="30">
        <f>897</f>
        <v>897</v>
      </c>
      <c r="E14" s="30"/>
      <c r="F14" s="33">
        <f>1100</f>
        <v>1100</v>
      </c>
      <c r="G14" s="30">
        <f>13829+38918+32091+22216+16522+16030+48549+15647+8629+8937</f>
        <v>221368</v>
      </c>
      <c r="H14" s="34">
        <f>17060+7385</f>
        <v>24445</v>
      </c>
      <c r="I14" s="34">
        <f>4999+7012+3151+2945+47798+6246+16079</f>
        <v>88230</v>
      </c>
    </row>
    <row r="15" spans="1:9" s="5" customFormat="1" ht="25.5" customHeight="1" x14ac:dyDescent="0.25">
      <c r="A15" s="26" t="s">
        <v>29</v>
      </c>
      <c r="B15" s="32" t="s">
        <v>30</v>
      </c>
      <c r="C15" s="30">
        <f>56823+44118+102350+49487+118139+75755+282499+92259+81598+54182</f>
        <v>957210</v>
      </c>
      <c r="D15" s="30"/>
      <c r="E15" s="30"/>
      <c r="F15" s="33"/>
      <c r="G15" s="30">
        <f>8934+9041</f>
        <v>17975</v>
      </c>
      <c r="H15" s="34">
        <f>51166+36386+78619+37640+102478+64851+212720+75772+79498+54182</f>
        <v>793312</v>
      </c>
      <c r="I15" s="34">
        <f>5657+7732+23731+11847+15661+10904+60845+7446+2100</f>
        <v>145923</v>
      </c>
    </row>
    <row r="16" spans="1:9" ht="15" customHeight="1" x14ac:dyDescent="0.25">
      <c r="A16" s="26" t="s">
        <v>31</v>
      </c>
      <c r="B16" s="32" t="s">
        <v>32</v>
      </c>
      <c r="C16" s="30">
        <f>1470+3155+5403+11408+7325+4944+2331+3302</f>
        <v>39338</v>
      </c>
      <c r="D16" s="30">
        <f>9500</f>
        <v>9500</v>
      </c>
      <c r="E16" s="30"/>
      <c r="F16" s="33">
        <f>1470+3155+5403+1908+6365+4944+977+1948</f>
        <v>26170</v>
      </c>
      <c r="G16" s="30"/>
      <c r="H16" s="34"/>
      <c r="I16" s="34">
        <f>960+1354+1354</f>
        <v>3668</v>
      </c>
    </row>
    <row r="17" spans="1:9" ht="14.25" customHeight="1" x14ac:dyDescent="0.25">
      <c r="A17" s="26" t="s">
        <v>33</v>
      </c>
      <c r="B17" s="32" t="s">
        <v>34</v>
      </c>
      <c r="C17" s="30"/>
      <c r="D17" s="30"/>
      <c r="E17" s="30"/>
      <c r="F17" s="33"/>
      <c r="G17" s="30"/>
      <c r="H17" s="34"/>
      <c r="I17" s="34"/>
    </row>
    <row r="18" spans="1:9" ht="35.25" customHeight="1" x14ac:dyDescent="0.25">
      <c r="A18" s="26" t="s">
        <v>35</v>
      </c>
      <c r="B18" s="36" t="s">
        <v>36</v>
      </c>
      <c r="C18" s="30"/>
      <c r="D18" s="30"/>
      <c r="E18" s="30"/>
      <c r="F18" s="33"/>
      <c r="G18" s="30"/>
      <c r="H18" s="34"/>
      <c r="I18" s="34"/>
    </row>
    <row r="19" spans="1:9" ht="13.5" customHeight="1" x14ac:dyDescent="0.25">
      <c r="A19" s="26" t="s">
        <v>37</v>
      </c>
      <c r="B19" s="32" t="s">
        <v>38</v>
      </c>
      <c r="C19" s="30"/>
      <c r="D19" s="30"/>
      <c r="E19" s="30"/>
      <c r="F19" s="33"/>
      <c r="G19" s="30"/>
      <c r="H19" s="34"/>
      <c r="I19" s="34"/>
    </row>
    <row r="20" spans="1:9" ht="15" customHeight="1" x14ac:dyDescent="0.25">
      <c r="A20" s="26" t="s">
        <v>39</v>
      </c>
      <c r="B20" s="32" t="s">
        <v>40</v>
      </c>
      <c r="C20" s="30"/>
      <c r="D20" s="30"/>
      <c r="E20" s="30"/>
      <c r="F20" s="33"/>
      <c r="G20" s="30"/>
      <c r="H20" s="34"/>
      <c r="I20" s="34"/>
    </row>
    <row r="21" spans="1:9" ht="12.75" customHeight="1" x14ac:dyDescent="0.25">
      <c r="A21" s="26" t="s">
        <v>41</v>
      </c>
      <c r="B21" s="32" t="s">
        <v>42</v>
      </c>
      <c r="C21" s="30">
        <f>21053</f>
        <v>21053</v>
      </c>
      <c r="D21" s="30"/>
      <c r="E21" s="30"/>
      <c r="F21" s="33"/>
      <c r="G21" s="30">
        <f>10185</f>
        <v>10185</v>
      </c>
      <c r="H21" s="34"/>
      <c r="I21" s="34">
        <f>10868</f>
        <v>10868</v>
      </c>
    </row>
    <row r="22" spans="1:9" ht="13.5" customHeight="1" x14ac:dyDescent="0.25">
      <c r="A22" s="26" t="s">
        <v>43</v>
      </c>
      <c r="B22" s="32" t="s">
        <v>44</v>
      </c>
      <c r="C22" s="30">
        <f>44925+47984+54700+44322+47357+21036+96972+42778+81300+36666</f>
        <v>518040</v>
      </c>
      <c r="D22" s="30">
        <f>17262+14331+11531+12331+15098+149+23033+14427+20100+7802</f>
        <v>136064</v>
      </c>
      <c r="E22" s="30">
        <f>28692</f>
        <v>28692</v>
      </c>
      <c r="F22" s="33">
        <f>11951</f>
        <v>11951</v>
      </c>
      <c r="G22" s="30">
        <f>16395+17861+20467+13443+24554+20887+45645+13754+17659+19291</f>
        <v>209956</v>
      </c>
      <c r="H22" s="34"/>
      <c r="I22" s="34">
        <f>11268+15792+22702+6597+7705+28294+14597+14849+9573</f>
        <v>131377</v>
      </c>
    </row>
    <row r="23" spans="1:9" ht="27" customHeight="1" x14ac:dyDescent="0.25">
      <c r="A23" s="26" t="s">
        <v>45</v>
      </c>
      <c r="B23" s="32" t="s">
        <v>46</v>
      </c>
      <c r="C23" s="30"/>
      <c r="D23" s="30"/>
      <c r="E23" s="30"/>
      <c r="F23" s="33"/>
      <c r="G23" s="30"/>
      <c r="H23" s="34"/>
      <c r="I23" s="34"/>
    </row>
    <row r="24" spans="1:9" ht="15.75" customHeight="1" x14ac:dyDescent="0.25">
      <c r="A24" s="26" t="s">
        <v>47</v>
      </c>
      <c r="B24" s="32" t="s">
        <v>48</v>
      </c>
      <c r="C24" s="30"/>
      <c r="D24" s="30"/>
      <c r="E24" s="30"/>
      <c r="F24" s="33"/>
      <c r="G24" s="30"/>
      <c r="H24" s="34"/>
      <c r="I24" s="34"/>
    </row>
    <row r="25" spans="1:9" ht="24" customHeight="1" x14ac:dyDescent="0.25">
      <c r="A25" s="26" t="s">
        <v>49</v>
      </c>
      <c r="B25" s="32" t="s">
        <v>50</v>
      </c>
      <c r="C25" s="30">
        <f>3517+2393+1286+901+3250+27537+3027+2125+1817</f>
        <v>45853</v>
      </c>
      <c r="D25" s="30"/>
      <c r="E25" s="30"/>
      <c r="F25" s="33">
        <f>19550</f>
        <v>19550</v>
      </c>
      <c r="G25" s="30">
        <f>3517+2393+1286+901+2063+6811+1848+2125+1817</f>
        <v>22761</v>
      </c>
      <c r="H25" s="34"/>
      <c r="I25" s="34">
        <f>1187+1176+1179</f>
        <v>3542</v>
      </c>
    </row>
    <row r="26" spans="1:9" ht="17.25" customHeight="1" x14ac:dyDescent="0.25">
      <c r="A26" s="26" t="s">
        <v>51</v>
      </c>
      <c r="B26" s="32" t="s">
        <v>52</v>
      </c>
      <c r="C26" s="30"/>
      <c r="D26" s="30"/>
      <c r="E26" s="30"/>
      <c r="F26" s="33"/>
      <c r="G26" s="30"/>
      <c r="H26" s="34"/>
      <c r="I26" s="34"/>
    </row>
    <row r="27" spans="1:9" ht="17.25" customHeight="1" x14ac:dyDescent="0.25">
      <c r="A27" s="26" t="s">
        <v>53</v>
      </c>
      <c r="B27" s="32" t="s">
        <v>54</v>
      </c>
      <c r="C27" s="30">
        <f>9791+433+3194</f>
        <v>13418</v>
      </c>
      <c r="D27" s="30"/>
      <c r="E27" s="30"/>
      <c r="F27" s="33">
        <f>433</f>
        <v>433</v>
      </c>
      <c r="G27" s="30">
        <f>5920+3194</f>
        <v>9114</v>
      </c>
      <c r="H27" s="34"/>
      <c r="I27" s="34">
        <f>3871</f>
        <v>3871</v>
      </c>
    </row>
    <row r="28" spans="1:9" ht="16.5" customHeight="1" x14ac:dyDescent="0.25">
      <c r="A28" s="26" t="s">
        <v>55</v>
      </c>
      <c r="B28" s="32" t="s">
        <v>56</v>
      </c>
      <c r="C28" s="30">
        <f>4759+26219+23323+13488+10812+9282+52837+17977+28266+12192</f>
        <v>199155</v>
      </c>
      <c r="D28" s="30">
        <f>54</f>
        <v>54</v>
      </c>
      <c r="E28" s="30"/>
      <c r="F28" s="33">
        <f>190+157+760</f>
        <v>1107</v>
      </c>
      <c r="G28" s="30">
        <f>4759+21242+20708+10499+8387+9095+50000+17977+23002+12138</f>
        <v>177807</v>
      </c>
      <c r="H28" s="34">
        <f>30</f>
        <v>30</v>
      </c>
      <c r="I28" s="34">
        <f>4787+2615+2989+2425+2077+5264</f>
        <v>20157</v>
      </c>
    </row>
    <row r="29" spans="1:9" ht="12.75" customHeight="1" x14ac:dyDescent="0.25">
      <c r="A29" s="26" t="s">
        <v>57</v>
      </c>
      <c r="B29" s="32" t="s">
        <v>58</v>
      </c>
      <c r="C29" s="30">
        <f>101+206</f>
        <v>307</v>
      </c>
      <c r="D29" s="30"/>
      <c r="E29" s="30"/>
      <c r="F29" s="33"/>
      <c r="G29" s="30">
        <f>101+206</f>
        <v>307</v>
      </c>
      <c r="H29" s="34"/>
      <c r="I29" s="34"/>
    </row>
    <row r="30" spans="1:9" ht="25.5" customHeight="1" x14ac:dyDescent="0.25">
      <c r="A30" s="26" t="s">
        <v>59</v>
      </c>
      <c r="B30" s="36" t="s">
        <v>60</v>
      </c>
      <c r="C30" s="30"/>
      <c r="D30" s="30"/>
      <c r="E30" s="30"/>
      <c r="F30" s="33"/>
      <c r="G30" s="30"/>
      <c r="H30" s="34"/>
      <c r="I30" s="34"/>
    </row>
    <row r="31" spans="1:9" s="5" customFormat="1" x14ac:dyDescent="0.25">
      <c r="A31" s="26" t="s">
        <v>61</v>
      </c>
      <c r="B31" s="32" t="s">
        <v>62</v>
      </c>
      <c r="C31" s="30">
        <f>834+2514+2137</f>
        <v>5485</v>
      </c>
      <c r="D31" s="30"/>
      <c r="E31" s="30"/>
      <c r="F31" s="33">
        <f>2137</f>
        <v>2137</v>
      </c>
      <c r="G31" s="30">
        <f>2514</f>
        <v>2514</v>
      </c>
      <c r="H31" s="34"/>
      <c r="I31" s="34">
        <f>834</f>
        <v>834</v>
      </c>
    </row>
    <row r="32" spans="1:9" s="5" customFormat="1" x14ac:dyDescent="0.25">
      <c r="A32" s="26" t="s">
        <v>63</v>
      </c>
      <c r="B32" s="32" t="s">
        <v>64</v>
      </c>
      <c r="C32" s="30">
        <f>164</f>
        <v>164</v>
      </c>
      <c r="D32" s="30"/>
      <c r="E32" s="30"/>
      <c r="F32" s="33"/>
      <c r="G32" s="30">
        <f>164</f>
        <v>164</v>
      </c>
      <c r="H32" s="34"/>
      <c r="I32" s="34"/>
    </row>
    <row r="33" spans="1:9" s="5" customFormat="1" x14ac:dyDescent="0.25">
      <c r="A33" s="26"/>
      <c r="B33" s="32"/>
      <c r="C33" s="30">
        <f t="shared" ref="C33:I33" si="0">SUM(C8:C32)</f>
        <v>3455232</v>
      </c>
      <c r="D33" s="30">
        <f t="shared" si="0"/>
        <v>246154</v>
      </c>
      <c r="E33" s="30">
        <f t="shared" si="0"/>
        <v>177618</v>
      </c>
      <c r="F33" s="34">
        <f t="shared" si="0"/>
        <v>1083366</v>
      </c>
      <c r="G33" s="30">
        <f>SUM(G8:G32)</f>
        <v>672151</v>
      </c>
      <c r="H33" s="34">
        <f t="shared" si="0"/>
        <v>834501</v>
      </c>
      <c r="I33" s="30">
        <f t="shared" si="0"/>
        <v>441442</v>
      </c>
    </row>
    <row r="34" spans="1:9" s="5" customFormat="1" x14ac:dyDescent="0.25">
      <c r="A34" s="1"/>
      <c r="B34" s="2"/>
      <c r="C34" s="3"/>
      <c r="D34" s="3"/>
      <c r="E34" s="3"/>
      <c r="F34" s="4"/>
      <c r="G34" s="3"/>
      <c r="H34" s="4"/>
      <c r="I34" s="3"/>
    </row>
    <row r="35" spans="1:9" ht="13.5" customHeight="1" x14ac:dyDescent="0.25">
      <c r="A35" s="7" t="s">
        <v>4</v>
      </c>
      <c r="B35" s="42" t="s">
        <v>65</v>
      </c>
      <c r="C35" s="12">
        <v>3404</v>
      </c>
      <c r="D35" s="8"/>
      <c r="E35" s="8"/>
      <c r="F35" s="8"/>
      <c r="G35" s="9"/>
      <c r="H35" s="8"/>
      <c r="I35" s="8"/>
    </row>
    <row r="36" spans="1:9" ht="11.25" customHeight="1" x14ac:dyDescent="0.25">
      <c r="A36" s="10"/>
      <c r="B36" s="37" t="s">
        <v>3</v>
      </c>
      <c r="C36" s="12"/>
      <c r="D36" s="8"/>
      <c r="E36" s="8"/>
      <c r="F36" s="8"/>
      <c r="G36" s="8"/>
      <c r="H36" s="8"/>
      <c r="I36" s="8"/>
    </row>
    <row r="37" spans="1:9" ht="12.75" customHeight="1" x14ac:dyDescent="0.25">
      <c r="A37" s="10"/>
      <c r="B37" s="37" t="s">
        <v>66</v>
      </c>
      <c r="C37" s="12">
        <v>2251</v>
      </c>
      <c r="D37" s="8"/>
      <c r="E37" s="8"/>
      <c r="F37" s="8"/>
      <c r="G37" s="8"/>
      <c r="H37" s="8"/>
      <c r="I37" s="8"/>
    </row>
    <row r="38" spans="1:9" ht="14.25" customHeight="1" x14ac:dyDescent="0.3">
      <c r="A38" s="11"/>
      <c r="B38" s="37" t="s">
        <v>67</v>
      </c>
      <c r="C38" s="12">
        <v>1153</v>
      </c>
      <c r="D38" s="8"/>
      <c r="E38" s="6"/>
      <c r="F38" s="6"/>
      <c r="G38" s="8"/>
      <c r="H38" s="6"/>
      <c r="I38" s="6"/>
    </row>
  </sheetData>
  <mergeCells count="5">
    <mergeCell ref="D3:H3"/>
    <mergeCell ref="D5:F5"/>
    <mergeCell ref="G5:I5"/>
    <mergeCell ref="E2:F2"/>
    <mergeCell ref="G4:I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Trafic  TOTAL APDF  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2021-05-25T07:17:12Z</cp:lastPrinted>
  <dcterms:created xsi:type="dcterms:W3CDTF">2020-05-27T10:34:50Z</dcterms:created>
  <dcterms:modified xsi:type="dcterms:W3CDTF">2021-05-25T07:31:13Z</dcterms:modified>
</cp:coreProperties>
</file>